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44" yWindow="65524" windowWidth="15192" windowHeight="9048" tabRatio="936" activeTab="1"/>
  </bookViews>
  <sheets>
    <sheet name="How To" sheetId="1" r:id="rId1"/>
    <sheet name="Torque &amp; Shaft Horsepower" sheetId="2" r:id="rId2"/>
    <sheet name="Power Required" sheetId="3" r:id="rId3"/>
    <sheet name="Prop Pitch" sheetId="4" r:id="rId4"/>
    <sheet name="3 Bladed prop" sheetId="5" r:id="rId5"/>
    <sheet name="2 &amp; 4 Bladed props" sheetId="6" r:id="rId6"/>
    <sheet name="Bollard thrust &amp; Notes" sheetId="7" r:id="rId7"/>
  </sheets>
  <definedNames>
    <definedName name="_xlnm.Print_Area" localSheetId="5">'2 &amp; 4 Bladed props'!$C$1:$O$55</definedName>
    <definedName name="_xlnm.Print_Area" localSheetId="2">'Power Required'!$C$1:$K$50</definedName>
    <definedName name="_xlnm.Print_Area" localSheetId="3">'Prop Pitch'!$A$1:$J$55</definedName>
    <definedName name="Z_3324F2C1_027C_11D9_B7CE_000B6A3D3EE7_.wvu.PrintArea" localSheetId="5" hidden="1">'2 &amp; 4 Bladed props'!$C$1:$O$55</definedName>
    <definedName name="Z_3324F2C1_027C_11D9_B7CE_000B6A3D3EE7_.wvu.PrintArea" localSheetId="2" hidden="1">'Power Required'!$C$1:$K$50</definedName>
    <definedName name="Z_3324F2C1_027C_11D9_B7CE_000B6A3D3EE7_.wvu.PrintArea" localSheetId="3" hidden="1">'Prop Pitch'!$A$1:$J$55</definedName>
    <definedName name="Z_961EFA3B_5227_422B_9F1E_500E5C1C29C6_.wvu.PrintArea" localSheetId="5" hidden="1">'2 &amp; 4 Bladed props'!$C$1:$O$55</definedName>
    <definedName name="Z_961EFA3B_5227_422B_9F1E_500E5C1C29C6_.wvu.PrintArea" localSheetId="2" hidden="1">'Power Required'!$C$1:$K$50</definedName>
    <definedName name="Z_961EFA3B_5227_422B_9F1E_500E5C1C29C6_.wvu.PrintArea" localSheetId="3" hidden="1">'Prop Pitch'!$A$1:$J$55</definedName>
  </definedNames>
  <calcPr fullCalcOnLoad="1"/>
</workbook>
</file>

<file path=xl/sharedStrings.xml><?xml version="1.0" encoding="utf-8"?>
<sst xmlns="http://schemas.openxmlformats.org/spreadsheetml/2006/main" count="100" uniqueCount="97">
  <si>
    <t>Engine Horsepower</t>
  </si>
  <si>
    <t>Engine Torque ft/lb</t>
  </si>
  <si>
    <t>Enter your data in the green boxes and the answer will appear in the yellow box.</t>
  </si>
  <si>
    <t>SHP - Shaft Horsepower at gearbox output.</t>
  </si>
  <si>
    <t>Enter number of bearings between gearbox output and propeller.</t>
  </si>
  <si>
    <t>Percentage power loss due to shaft bearings.</t>
  </si>
  <si>
    <t xml:space="preserve"> Shaft Horsepower at propeller.</t>
  </si>
  <si>
    <t>Enter Gearbox reduction ratio. Eg. 1.5</t>
  </si>
  <si>
    <t>Propeller RPM</t>
  </si>
  <si>
    <t>Propeller Torque ft/lb</t>
  </si>
  <si>
    <r>
      <t xml:space="preserve">Engine R.P.M. (max) </t>
    </r>
  </si>
  <si>
    <t>This will calculate the Displacement Speed Formula for the hull.</t>
  </si>
  <si>
    <t>Waterline Length of vessel in feet.</t>
  </si>
  <si>
    <t>Required maximum speed in knots.</t>
  </si>
  <si>
    <t>NB This excludes power required by ancilliaries driven by the engine, such as hydraulic pumps or generators.</t>
  </si>
  <si>
    <t>Knots</t>
  </si>
  <si>
    <r>
      <t>Maximum</t>
    </r>
    <r>
      <rPr>
        <sz val="10"/>
        <rFont val="Arial"/>
        <family val="0"/>
      </rPr>
      <t xml:space="preserve"> Displacement of vessel in pounds.</t>
    </r>
  </si>
  <si>
    <t>Speed:Length Ratio up to 1.6=displacement, from 1.6 to 2.8=semi-displacement, over 2.8=planing.</t>
  </si>
  <si>
    <t>Suggested max practical displacement hull speed for LWL input ---&gt;</t>
  </si>
  <si>
    <r>
      <t>Speed:Length Ratio</t>
    </r>
    <r>
      <rPr>
        <sz val="10"/>
        <rFont val="Arial"/>
        <family val="0"/>
      </rPr>
      <t>.</t>
    </r>
  </si>
  <si>
    <t>Approx maximum speed attainable with motor data from "Torque &amp; Shaft HP" sheet.</t>
  </si>
  <si>
    <t>Shaft HP required for speed required at top of page.</t>
  </si>
  <si>
    <t>Enter "C" for your hull.</t>
  </si>
  <si>
    <r>
      <t>For planing hulls</t>
    </r>
    <r>
      <rPr>
        <sz val="10"/>
        <rFont val="Arial"/>
        <family val="0"/>
      </rPr>
      <t>, where C= 150 for runabout, 190 for fast, 210 for race.</t>
    </r>
  </si>
  <si>
    <t>Speed in knots required from Power Reqd page</t>
  </si>
  <si>
    <t>Max prop shaft rpm from Torque &amp; SHP page</t>
  </si>
  <si>
    <t>Indicates a result generated by this spreadsheet.</t>
  </si>
  <si>
    <t>Indicates data carried from another sheet.</t>
  </si>
  <si>
    <t>This was created by Surfbaud, and we fully retain the copyright.</t>
  </si>
  <si>
    <t>You may distribute this with a commercial product, but you may not charge for it.</t>
  </si>
  <si>
    <t>This spreadsheet may not be altered by any third parties.</t>
  </si>
  <si>
    <t>If you wish additional functionality just ask us and we will see to it.</t>
  </si>
  <si>
    <t>http://www.surfbaud.co.uk/wave/</t>
  </si>
  <si>
    <t>Website and download.</t>
  </si>
  <si>
    <t>Contact.</t>
  </si>
  <si>
    <t>jb@surfbaud.co.uk</t>
  </si>
  <si>
    <t>Welcome to the Surfbaud Freeware Propeller Calculator for Excel.</t>
  </si>
  <si>
    <t>KEY</t>
  </si>
  <si>
    <t>This spreadsheet is freeware. No charge may made for using it.</t>
  </si>
  <si>
    <t>80% of max prop shaft rpm</t>
  </si>
  <si>
    <t>desired speed expressed as feet per minute.</t>
  </si>
  <si>
    <r>
      <t>Theoretical</t>
    </r>
    <r>
      <rPr>
        <sz val="10"/>
        <rFont val="Arial"/>
        <family val="2"/>
      </rPr>
      <t xml:space="preserve"> required prop pitch in inches.</t>
    </r>
  </si>
  <si>
    <t>All units used are imperial.</t>
  </si>
  <si>
    <t>Estimated prop slip at required top speed.</t>
  </si>
  <si>
    <r>
      <t>Required</t>
    </r>
    <r>
      <rPr>
        <sz val="10"/>
        <rFont val="Arial"/>
        <family val="2"/>
      </rPr>
      <t xml:space="preserve"> prop pitch for top speed.</t>
    </r>
  </si>
  <si>
    <t>This is an automatic calculation from shaft horsepower and rpm at prop on Torque sheet.</t>
  </si>
  <si>
    <t>Propeller Diameter in inches.</t>
  </si>
  <si>
    <t>Propeller Pitch in inches.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</si>
  <si>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</si>
  <si>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</si>
  <si>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</si>
  <si>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</si>
  <si>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</si>
  <si>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The alternatives in light blue squares</t>
  </si>
  <si>
    <t>Four blade propeller.</t>
  </si>
  <si>
    <t>Two blade propeller.</t>
  </si>
  <si>
    <t>diameter in inches.</t>
  </si>
  <si>
    <t>pitch in inches.</t>
  </si>
  <si>
    <t>Only minor variations on this figure for 2 or 4 blades.</t>
  </si>
  <si>
    <t>many variables, such as water salinity or temperature, all of which affect the equations.</t>
  </si>
  <si>
    <t>propellers are swapped.</t>
  </si>
  <si>
    <t>It will even be found that two identical vessels will perform slightly differently if their apparently identical</t>
  </si>
  <si>
    <t xml:space="preserve">Even an apparently precise specification will leave room for significant variations from one manufacturer </t>
  </si>
  <si>
    <t>to the next. So there is no such animal as a pair of perfectly matched props…</t>
  </si>
  <si>
    <t>The purpose of this spreadsheet is to take the guesswork out and produce a spec that is as close as</t>
  </si>
  <si>
    <r>
      <t xml:space="preserve">Indicates data requiring input by you. </t>
    </r>
    <r>
      <rPr>
        <b/>
        <i/>
        <sz val="8"/>
        <color indexed="10"/>
        <rFont val="Arial"/>
        <family val="2"/>
      </rPr>
      <t>Demo data already entered.</t>
    </r>
  </si>
  <si>
    <t>NB Each extra gearbox or vee-drive will reduce power by an additional 3%.</t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</si>
  <si>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0"/>
      </rPr>
      <t xml:space="preserve"> (power/weight ratio)</t>
    </r>
  </si>
  <si>
    <r>
      <t>Pounds per shaft horsepower</t>
    </r>
    <r>
      <rPr>
        <b/>
        <sz val="10"/>
        <rFont val="Arial"/>
        <family val="2"/>
      </rPr>
      <t xml:space="preserve"> required.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</si>
  <si>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</si>
  <si>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t>desired speed divided by max prop shaft rpm to give prop feet per minute.</t>
  </si>
  <si>
    <t>0.33 mean-width ratio blades. (This means 33% of the "disc" area of prop dia is blades)</t>
  </si>
  <si>
    <t>If you find yourself way off, you have either entered bad data or have a badly configured vessel!</t>
  </si>
  <si>
    <t>It should be noted that it is physically impossible to do an exact calculation, simply because there are so</t>
  </si>
  <si>
    <r>
      <t xml:space="preserve">is </t>
    </r>
    <r>
      <rPr>
        <b/>
        <u val="single"/>
        <sz val="10"/>
        <color indexed="48"/>
        <rFont val="Arial"/>
        <family val="2"/>
      </rPr>
      <t>practical</t>
    </r>
    <r>
      <rPr>
        <b/>
        <sz val="10"/>
        <color indexed="48"/>
        <rFont val="Arial"/>
        <family val="2"/>
      </rPr>
      <t xml:space="preserve"> to the approximate theoretical ideal.</t>
    </r>
  </si>
  <si>
    <t>Have fun calculating the numbers for installation of your engine in a 10,000 ton coaster!</t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</si>
  <si>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at propeller from "Torque &amp; Shaft Horsepower" sheet</t>
    </r>
  </si>
  <si>
    <t>For three bladed propellor.</t>
  </si>
  <si>
    <t>This will calculate engine torque from input BHP and RPM.</t>
  </si>
  <si>
    <t xml:space="preserve"> Maximum Static or Bollard thrust in pounds.</t>
  </si>
  <si>
    <t>All Dimensions in Inches.</t>
  </si>
  <si>
    <t>Always consult the propeller manufacturers and take their advice.</t>
  </si>
  <si>
    <t>The propeller selected will be a two bladed 9 x 7 with an MWR of 0.33</t>
  </si>
  <si>
    <t>Mean Witdth = is the width of a rectangle having the same area as the blade</t>
  </si>
  <si>
    <t xml:space="preserve">and the same length of the blade from root to tip. </t>
  </si>
  <si>
    <t>The ratio "MWR" is the mean width divided by the diameter.</t>
  </si>
  <si>
    <t xml:space="preserve">NB  Max engine RPM should not be more than 85% of manufacturers stated max RPM unless a continuous-duty </t>
  </si>
  <si>
    <t>heavy marine diesel is used!</t>
  </si>
  <si>
    <t xml:space="preserve">The required HP required at the shaft to drive a 10 inch diameter propeller </t>
  </si>
  <si>
    <t>at 6 knots is given as 9HP. We only have 6HP available.</t>
  </si>
  <si>
    <t>Therefore we will reduce the propeller diameter by 1inch to 9 inches to</t>
  </si>
  <si>
    <t>The mean width blade ratio is 0.33 giving a 2.97 inch (mean width) blade .</t>
  </si>
  <si>
    <t>(approx 3inches actual)</t>
  </si>
  <si>
    <t>compensate.</t>
  </si>
  <si>
    <t>Even an apparently precise specification will leave room for significant variations from one manufacturer to the next.</t>
  </si>
  <si>
    <t>The purpose of this spreadsheet is to take the guesswork out and produce a spec that is as close as is practical</t>
  </si>
  <si>
    <t>to the approximate theoretical ideal.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</si>
</sst>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£&quot;#,##0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4"/>
      <color indexed="61"/>
      <name val="Arial"/>
      <family val="2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1"/>
      <name val="Arial"/>
      <family val="2"/>
    </font>
    <font>
      <b/>
      <i/>
      <sz val="8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6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1" fillId="3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0" fillId="2" borderId="0" xfId="0" applyNumberFormat="1" applyFill="1" applyAlignment="1">
      <alignment/>
    </xf>
    <xf numFmtId="172" fontId="1" fillId="3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3" borderId="0" xfId="0" applyNumberFormat="1" applyFill="1" applyAlignment="1">
      <alignment/>
    </xf>
    <xf numFmtId="3" fontId="0" fillId="0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1" fillId="4" borderId="0" xfId="0" applyNumberFormat="1" applyFont="1" applyFill="1" applyAlignment="1">
      <alignment/>
    </xf>
    <xf numFmtId="173" fontId="0" fillId="3" borderId="0" xfId="0" applyNumberFormat="1" applyFill="1" applyAlignment="1">
      <alignment/>
    </xf>
    <xf numFmtId="1" fontId="1" fillId="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9" fillId="0" borderId="0" xfId="0" applyFont="1" applyAlignment="1">
      <alignment/>
    </xf>
    <xf numFmtId="0" fontId="11" fillId="0" borderId="0" xfId="2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0" fillId="0" borderId="0" xfId="0" applyNumberFormat="1" applyAlignment="1">
      <alignment/>
    </xf>
    <xf numFmtId="0" fontId="0" fillId="5" borderId="0" xfId="0" applyFill="1" applyAlignment="1">
      <alignment/>
    </xf>
    <xf numFmtId="1" fontId="3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1" fontId="1" fillId="6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" fontId="1" fillId="3" borderId="4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1" fillId="5" borderId="1" xfId="0" applyNumberFormat="1" applyFont="1" applyFill="1" applyBorder="1" applyAlignment="1">
      <alignment horizontal="center"/>
    </xf>
    <xf numFmtId="0" fontId="21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wave/" TargetMode="External" /><Relationship Id="rId2" Type="http://schemas.openxmlformats.org/officeDocument/2006/relationships/hyperlink" Target="mailto:jb@surfbaud.co.uk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showGridLines="0" workbookViewId="0" topLeftCell="B1">
      <selection activeCell="C5" sqref="C5"/>
    </sheetView>
  </sheetViews>
  <sheetFormatPr defaultColWidth="9.140625" defaultRowHeight="12.75"/>
  <cols>
    <col min="8" max="8" width="11.7109375" style="0" customWidth="1"/>
    <col min="10" max="10" width="3.28125" style="0" customWidth="1"/>
  </cols>
  <sheetData>
    <row r="2" ht="17.25">
      <c r="B2" s="25" t="s">
        <v>36</v>
      </c>
    </row>
    <row r="4" ht="12.75">
      <c r="F4" s="4"/>
    </row>
    <row r="5" spans="2:4" ht="12.75">
      <c r="B5" s="38" t="s">
        <v>37</v>
      </c>
      <c r="C5" s="26"/>
      <c r="D5" s="8" t="s">
        <v>65</v>
      </c>
    </row>
    <row r="6" spans="3:4" ht="12.75">
      <c r="C6" s="28"/>
      <c r="D6" s="8" t="s">
        <v>27</v>
      </c>
    </row>
    <row r="7" spans="3:4" ht="12.75">
      <c r="C7" s="27"/>
      <c r="D7" s="8" t="s">
        <v>26</v>
      </c>
    </row>
    <row r="9" spans="3:7" ht="12.75">
      <c r="C9" s="38" t="s">
        <v>28</v>
      </c>
      <c r="D9" s="29"/>
      <c r="E9" s="29"/>
      <c r="F9" s="29"/>
      <c r="G9" s="29"/>
    </row>
    <row r="10" spans="3:7" ht="12.75">
      <c r="C10" s="29"/>
      <c r="D10" s="29"/>
      <c r="E10" s="29"/>
      <c r="F10" s="29"/>
      <c r="G10" s="29"/>
    </row>
    <row r="11" spans="3:7" ht="12.75">
      <c r="C11" s="38" t="s">
        <v>29</v>
      </c>
      <c r="D11" s="29"/>
      <c r="E11" s="29"/>
      <c r="F11" s="29"/>
      <c r="G11" s="29"/>
    </row>
    <row r="12" spans="3:7" ht="12.75">
      <c r="C12" s="29"/>
      <c r="D12" s="29"/>
      <c r="E12" s="29"/>
      <c r="F12" s="29"/>
      <c r="G12" s="29"/>
    </row>
    <row r="13" spans="3:7" ht="12.75">
      <c r="C13" s="38" t="s">
        <v>38</v>
      </c>
      <c r="D13" s="29"/>
      <c r="E13" s="29"/>
      <c r="F13" s="29"/>
      <c r="G13" s="29"/>
    </row>
    <row r="14" spans="3:7" ht="12.75">
      <c r="C14" s="29"/>
      <c r="D14" s="29"/>
      <c r="E14" s="29"/>
      <c r="F14" s="29"/>
      <c r="G14" s="29"/>
    </row>
    <row r="15" spans="3:7" ht="12.75">
      <c r="C15" s="38" t="s">
        <v>30</v>
      </c>
      <c r="D15" s="29"/>
      <c r="E15" s="29"/>
      <c r="F15" s="29"/>
      <c r="G15" s="29"/>
    </row>
    <row r="16" spans="3:7" ht="12.75">
      <c r="C16" s="38" t="s">
        <v>31</v>
      </c>
      <c r="D16" s="29"/>
      <c r="E16" s="29"/>
      <c r="F16" s="29"/>
      <c r="G16" s="29"/>
    </row>
    <row r="17" spans="3:7" ht="12.75">
      <c r="C17" s="29"/>
      <c r="D17" s="29"/>
      <c r="E17" s="29"/>
      <c r="F17" s="29"/>
      <c r="G17" s="29"/>
    </row>
    <row r="18" spans="3:7" ht="12.75">
      <c r="C18" s="29"/>
      <c r="D18" s="38" t="s">
        <v>34</v>
      </c>
      <c r="E18" s="29"/>
      <c r="F18" s="29"/>
      <c r="G18" s="29"/>
    </row>
    <row r="19" spans="3:7" ht="12.75">
      <c r="C19" s="29"/>
      <c r="D19" s="29"/>
      <c r="E19" s="30" t="s">
        <v>35</v>
      </c>
      <c r="F19" s="29"/>
      <c r="G19" s="29"/>
    </row>
    <row r="20" spans="3:7" ht="12.75">
      <c r="C20" s="29"/>
      <c r="D20" s="29"/>
      <c r="E20" s="30"/>
      <c r="F20" s="29"/>
      <c r="G20" s="29"/>
    </row>
    <row r="21" spans="3:7" ht="12.75">
      <c r="C21" s="29"/>
      <c r="D21" s="38" t="s">
        <v>33</v>
      </c>
      <c r="E21" s="29"/>
      <c r="F21" s="29"/>
      <c r="G21" s="29"/>
    </row>
    <row r="22" spans="3:7" ht="12.75">
      <c r="C22" s="29"/>
      <c r="D22" s="29"/>
      <c r="E22" s="30" t="s">
        <v>32</v>
      </c>
      <c r="F22" s="29"/>
      <c r="G22" s="29"/>
    </row>
    <row r="24" spans="5:6" ht="12.75">
      <c r="E24" s="31"/>
      <c r="F24" s="32" t="s">
        <v>42</v>
      </c>
    </row>
  </sheetData>
  <hyperlinks>
    <hyperlink ref="E22" r:id="rId1" display="http://www.surfbaud.co.uk/wave/"/>
    <hyperlink ref="E19" r:id="rId2" display="mailto:jb@surfbaud.co.uk"/>
  </hyperlinks>
  <printOptions/>
  <pageMargins left="0.3937007874015748" right="0.3937007874015748" top="0.984251968503937" bottom="0.984251968503937" header="0.5118110236220472" footer="0.5118110236220472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2"/>
  <sheetViews>
    <sheetView showGridLines="0" tabSelected="1" workbookViewId="0" topLeftCell="A4">
      <selection activeCell="C11" sqref="C11"/>
    </sheetView>
  </sheetViews>
  <sheetFormatPr defaultColWidth="9.140625" defaultRowHeight="12.75"/>
  <cols>
    <col min="9" max="9" width="4.28125" style="0" customWidth="1"/>
  </cols>
  <sheetData>
    <row r="1" ht="12.75">
      <c r="C1" s="8" t="s">
        <v>78</v>
      </c>
    </row>
    <row r="3" ht="12.75">
      <c r="C3" s="9" t="s">
        <v>2</v>
      </c>
    </row>
    <row r="5" spans="3:4" ht="12.75">
      <c r="C5" s="2">
        <v>9</v>
      </c>
      <c r="D5" t="s">
        <v>0</v>
      </c>
    </row>
    <row r="6" spans="3:4" ht="12.75">
      <c r="C6" s="2">
        <v>3600</v>
      </c>
      <c r="D6" t="s">
        <v>10</v>
      </c>
    </row>
    <row r="7" spans="3:4" ht="13.5" thickBot="1">
      <c r="C7" s="3">
        <f>(5252*C5)/C6</f>
        <v>13.13</v>
      </c>
      <c r="D7" t="s">
        <v>1</v>
      </c>
    </row>
    <row r="9" spans="3:4" ht="12.75">
      <c r="C9" s="18">
        <f>C5*0.97</f>
        <v>8.73</v>
      </c>
      <c r="D9" t="s">
        <v>3</v>
      </c>
    </row>
    <row r="10" spans="3:4" ht="12.75">
      <c r="C10" s="1">
        <v>3</v>
      </c>
      <c r="D10" t="s">
        <v>4</v>
      </c>
    </row>
    <row r="11" spans="3:4" ht="12.75">
      <c r="C11" s="6">
        <v>2.62</v>
      </c>
      <c r="D11" t="s">
        <v>7</v>
      </c>
    </row>
    <row r="13" spans="3:4" ht="12.75">
      <c r="C13" s="5">
        <f>0.015*C10</f>
        <v>0.045</v>
      </c>
      <c r="D13" t="s">
        <v>5</v>
      </c>
    </row>
    <row r="14" ht="12.75">
      <c r="C14" s="4"/>
    </row>
    <row r="15" spans="3:4" ht="13.5" thickBot="1">
      <c r="C15" s="3">
        <f>C9*((100-C13)/100)</f>
        <v>8.7260715</v>
      </c>
      <c r="D15" s="7" t="s">
        <v>6</v>
      </c>
    </row>
    <row r="16" spans="3:4" ht="13.5" thickBot="1">
      <c r="C16" s="3">
        <f>C6/C11</f>
        <v>1374.0458015267175</v>
      </c>
      <c r="D16" s="7" t="s">
        <v>8</v>
      </c>
    </row>
    <row r="17" spans="3:4" ht="13.5" thickBot="1">
      <c r="C17" s="3">
        <f>(5252*C15)/C16</f>
        <v>33.3535661381</v>
      </c>
      <c r="D17" s="7" t="s">
        <v>9</v>
      </c>
    </row>
    <row r="19" ht="12.75">
      <c r="B19" s="10" t="s">
        <v>86</v>
      </c>
    </row>
    <row r="20" ht="12.75">
      <c r="B20" s="49" t="s">
        <v>87</v>
      </c>
    </row>
    <row r="21" ht="12.75">
      <c r="B21" s="10" t="s">
        <v>14</v>
      </c>
    </row>
    <row r="22" ht="12.75">
      <c r="B22" s="10" t="s">
        <v>66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3"/>
  <sheetViews>
    <sheetView showGridLines="0" workbookViewId="0" topLeftCell="C1">
      <selection activeCell="C7" sqref="C7"/>
    </sheetView>
  </sheetViews>
  <sheetFormatPr defaultColWidth="9.140625" defaultRowHeight="12.75"/>
  <cols>
    <col min="3" max="3" width="9.7109375" style="0" customWidth="1"/>
    <col min="8" max="8" width="8.00390625" style="0" customWidth="1"/>
    <col min="9" max="9" width="13.8515625" style="0" customWidth="1"/>
    <col min="10" max="10" width="9.00390625" style="0" customWidth="1"/>
  </cols>
  <sheetData>
    <row r="1" ht="12.75">
      <c r="C1" s="8" t="s">
        <v>11</v>
      </c>
    </row>
    <row r="2" ht="12.75">
      <c r="C2" s="15" t="s">
        <v>17</v>
      </c>
    </row>
    <row r="4" spans="3:4" ht="12.75">
      <c r="C4" s="11">
        <v>3400</v>
      </c>
      <c r="D4" s="7" t="s">
        <v>16</v>
      </c>
    </row>
    <row r="5" spans="3:4" ht="12.75">
      <c r="C5" s="2">
        <v>18</v>
      </c>
      <c r="D5" t="s">
        <v>12</v>
      </c>
    </row>
    <row r="6" spans="3:4" ht="12.75">
      <c r="C6" s="13">
        <v>6</v>
      </c>
      <c r="D6" t="s">
        <v>13</v>
      </c>
    </row>
    <row r="8" spans="3:4" ht="13.5" thickBot="1">
      <c r="C8" s="14">
        <f>C6/(SQRT(C5))</f>
        <v>1.4142135623730951</v>
      </c>
      <c r="D8" s="7" t="s">
        <v>19</v>
      </c>
    </row>
    <row r="9" spans="4:11" ht="13.5" thickBot="1">
      <c r="D9" s="15" t="s">
        <v>18</v>
      </c>
      <c r="J9" s="50">
        <f>1.5*(SQRT(C5))</f>
        <v>6.363961030678928</v>
      </c>
      <c r="K9" s="7" t="s">
        <v>15</v>
      </c>
    </row>
    <row r="11" spans="3:4" ht="12.75">
      <c r="C11" s="19">
        <f>'Torque &amp; Shaft Horsepower'!C15</f>
        <v>8.7260715</v>
      </c>
      <c r="D11" t="s">
        <v>76</v>
      </c>
    </row>
    <row r="12" spans="3:4" ht="12.75">
      <c r="C12" s="18">
        <f>C4/C11</f>
        <v>389.6369632084725</v>
      </c>
      <c r="D12" t="s">
        <v>67</v>
      </c>
    </row>
    <row r="14" spans="3:4" ht="12.75">
      <c r="C14" s="47">
        <f>C4/POWER(10.665/C8,3)</f>
        <v>7.92759273837067</v>
      </c>
      <c r="D14" s="39" t="s">
        <v>69</v>
      </c>
    </row>
    <row r="15" spans="3:4" ht="13.5" thickBot="1">
      <c r="C15" s="46">
        <f>C4/C14</f>
        <v>428.88176930980813</v>
      </c>
      <c r="D15" s="39" t="s">
        <v>68</v>
      </c>
    </row>
    <row r="16" spans="3:4" ht="13.5" thickTop="1">
      <c r="C16" s="45"/>
      <c r="D16" s="39"/>
    </row>
    <row r="17" spans="8:9" s="42" customFormat="1" ht="12.75" customHeight="1">
      <c r="H17" s="43"/>
      <c r="I17" s="44"/>
    </row>
    <row r="18" spans="3:8" ht="12.75">
      <c r="C18" s="23" t="s">
        <v>23</v>
      </c>
      <c r="E18" s="4"/>
      <c r="H18" s="17"/>
    </row>
    <row r="19" spans="3:8" ht="12.75">
      <c r="C19" s="23"/>
      <c r="E19" s="4"/>
      <c r="H19" s="17"/>
    </row>
    <row r="20" spans="3:4" ht="12.75">
      <c r="C20" s="2">
        <v>140</v>
      </c>
      <c r="D20" t="s">
        <v>22</v>
      </c>
    </row>
    <row r="22" spans="3:4" ht="12.75">
      <c r="C22" s="21">
        <f>C20/SQRT(C12)</f>
        <v>7.092477402564096</v>
      </c>
      <c r="D22" t="s">
        <v>20</v>
      </c>
    </row>
    <row r="23" spans="3:4" ht="13.5" thickBot="1">
      <c r="C23" s="3">
        <f>(POWER((C6/C20),2))*C4</f>
        <v>6.244897959183674</v>
      </c>
      <c r="D23" t="s">
        <v>21</v>
      </c>
    </row>
  </sheetData>
  <printOptions/>
  <pageMargins left="0" right="0.35433070866141736" top="1.24" bottom="1.63" header="0.55" footer="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E19"/>
  <sheetViews>
    <sheetView showGridLines="0" workbookViewId="0" topLeftCell="A1">
      <selection activeCell="L15" sqref="L15"/>
    </sheetView>
  </sheetViews>
  <sheetFormatPr defaultColWidth="9.140625" defaultRowHeight="12.75"/>
  <cols>
    <col min="5" max="5" width="9.28125" style="0" bestFit="1" customWidth="1"/>
  </cols>
  <sheetData>
    <row r="3" spans="3:4" ht="12.75">
      <c r="C3" s="24">
        <f>'Power Required'!C6</f>
        <v>6</v>
      </c>
      <c r="D3" t="s">
        <v>24</v>
      </c>
    </row>
    <row r="4" spans="3:5" ht="12.75">
      <c r="C4" s="4"/>
      <c r="D4" s="19">
        <f>'Torque &amp; Shaft Horsepower'!C16</f>
        <v>1374.0458015267175</v>
      </c>
      <c r="E4" t="s">
        <v>25</v>
      </c>
    </row>
    <row r="5" spans="3:4" ht="12.75">
      <c r="C5" s="18">
        <f>D4*0.8</f>
        <v>1099.236641221374</v>
      </c>
      <c r="D5" t="s">
        <v>39</v>
      </c>
    </row>
    <row r="7" spans="3:4" ht="12.75">
      <c r="C7" s="18">
        <f>C3*101.3</f>
        <v>607.8</v>
      </c>
      <c r="D7" t="s">
        <v>40</v>
      </c>
    </row>
    <row r="9" spans="3:4" ht="12.75">
      <c r="C9" s="16">
        <f>C7/C5</f>
        <v>0.5529291666666667</v>
      </c>
      <c r="D9" t="s">
        <v>70</v>
      </c>
    </row>
    <row r="11" spans="3:4" ht="12.75">
      <c r="C11" s="16">
        <f>C9*12</f>
        <v>6.63515</v>
      </c>
      <c r="D11" s="7" t="s">
        <v>41</v>
      </c>
    </row>
    <row r="13" spans="3:4" ht="12.75">
      <c r="C13" s="5">
        <f>1.4/(POWER(C3,0.57))</f>
        <v>0.5041755990194728</v>
      </c>
      <c r="D13" t="s">
        <v>43</v>
      </c>
    </row>
    <row r="15" spans="3:4" ht="13.5" thickBot="1">
      <c r="C15" s="3">
        <f>C11*(1+C13)</f>
        <v>9.980430725834054</v>
      </c>
      <c r="D15" s="7" t="s">
        <v>44</v>
      </c>
    </row>
    <row r="19" ht="12.75">
      <c r="E19" s="33"/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F19"/>
  <sheetViews>
    <sheetView showGridLines="0" workbookViewId="0" topLeftCell="A1">
      <selection activeCell="K24" sqref="K24"/>
    </sheetView>
  </sheetViews>
  <sheetFormatPr defaultColWidth="9.140625" defaultRowHeight="12.75"/>
  <sheetData>
    <row r="2" ht="12.75">
      <c r="C2" s="12" t="s">
        <v>45</v>
      </c>
    </row>
    <row r="4" spans="3:4" ht="12.75">
      <c r="C4" s="22">
        <f>(632.7*(POWER('Torque &amp; Shaft Horsepower'!C15,0.2)))/(POWER('Torque &amp; Shaft Horsepower'!C16,0.6))</f>
        <v>12.78088308908217</v>
      </c>
      <c r="D4" t="s">
        <v>46</v>
      </c>
    </row>
    <row r="5" ht="12.75">
      <c r="D5" s="35">
        <f>C4-1</f>
        <v>11.78088308908217</v>
      </c>
    </row>
    <row r="6" spans="3:4" ht="12.75">
      <c r="C6" s="20">
        <f>'Prop Pitch'!C15</f>
        <v>9.980430725834054</v>
      </c>
      <c r="D6" t="s">
        <v>47</v>
      </c>
    </row>
    <row r="7" ht="12.75">
      <c r="D7" s="35">
        <f>C6+2.5</f>
        <v>12.480430725834054</v>
      </c>
    </row>
    <row r="8" ht="12.75">
      <c r="D8" s="40"/>
    </row>
    <row r="9" ht="12.75">
      <c r="C9" s="8" t="s">
        <v>71</v>
      </c>
    </row>
    <row r="11" ht="12.75">
      <c r="C11" t="s">
        <v>48</v>
      </c>
    </row>
    <row r="12" ht="12.75">
      <c r="D12" t="s">
        <v>49</v>
      </c>
    </row>
    <row r="13" ht="12.75">
      <c r="D13" t="s">
        <v>50</v>
      </c>
    </row>
    <row r="15" ht="12.75">
      <c r="C15" t="s">
        <v>51</v>
      </c>
    </row>
    <row r="16" ht="12.75">
      <c r="C16" t="s">
        <v>52</v>
      </c>
    </row>
    <row r="17" spans="3:6" ht="12.75">
      <c r="C17" s="36" t="s">
        <v>53</v>
      </c>
      <c r="D17" s="34"/>
      <c r="E17" s="34"/>
      <c r="F17" s="34"/>
    </row>
    <row r="19" ht="12.75">
      <c r="C19" s="12" t="s">
        <v>72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O29"/>
  <sheetViews>
    <sheetView showGridLines="0" workbookViewId="0" topLeftCell="C1">
      <selection activeCell="O13" sqref="O13"/>
    </sheetView>
  </sheetViews>
  <sheetFormatPr defaultColWidth="9.140625" defaultRowHeight="12.75"/>
  <sheetData>
    <row r="3" ht="12.75">
      <c r="C3" t="s">
        <v>55</v>
      </c>
    </row>
    <row r="5" spans="4:15" ht="12.75">
      <c r="D5" s="37">
        <f>'3 Bladed prop'!C4*1.05</f>
        <v>13.419927243536279</v>
      </c>
      <c r="E5" t="s">
        <v>56</v>
      </c>
      <c r="G5" s="34" t="s">
        <v>88</v>
      </c>
      <c r="H5" s="34"/>
      <c r="I5" s="34"/>
      <c r="J5" s="34"/>
      <c r="K5" s="34"/>
      <c r="L5" s="34"/>
      <c r="M5" s="34"/>
      <c r="N5" s="34"/>
      <c r="O5" s="34"/>
    </row>
    <row r="6" spans="4:15" ht="12.75">
      <c r="D6" s="37">
        <f>'3 Bladed prop'!C6*1.01</f>
        <v>10.080235033092395</v>
      </c>
      <c r="E6" t="s">
        <v>57</v>
      </c>
      <c r="G6" s="34" t="s">
        <v>89</v>
      </c>
      <c r="H6" s="34"/>
      <c r="I6" s="34"/>
      <c r="J6" s="34"/>
      <c r="K6" s="34"/>
      <c r="L6" s="34"/>
      <c r="M6" s="34"/>
      <c r="N6" s="34"/>
      <c r="O6" s="34"/>
    </row>
    <row r="7" spans="7:15" ht="12.75">
      <c r="G7" s="34" t="s">
        <v>90</v>
      </c>
      <c r="H7" s="34"/>
      <c r="I7" s="34"/>
      <c r="J7" s="34"/>
      <c r="K7" s="34"/>
      <c r="L7" s="34"/>
      <c r="M7" s="34"/>
      <c r="N7" s="34"/>
      <c r="O7" s="34"/>
    </row>
    <row r="8" spans="3:15" ht="12.75">
      <c r="C8" t="s">
        <v>54</v>
      </c>
      <c r="G8" s="51" t="s">
        <v>93</v>
      </c>
      <c r="H8" s="34"/>
      <c r="I8" s="34"/>
      <c r="J8" s="34"/>
      <c r="K8" s="34"/>
      <c r="L8" s="34"/>
      <c r="M8" s="34"/>
      <c r="N8" s="34"/>
      <c r="O8" s="34"/>
    </row>
    <row r="9" spans="7:15" ht="12.75">
      <c r="G9" s="34" t="s">
        <v>91</v>
      </c>
      <c r="H9" s="34"/>
      <c r="I9" s="34"/>
      <c r="J9" s="34"/>
      <c r="K9" s="34"/>
      <c r="L9" s="34"/>
      <c r="M9" s="34"/>
      <c r="N9" s="34"/>
      <c r="O9" s="34"/>
    </row>
    <row r="10" spans="4:13" ht="12.75">
      <c r="D10" s="37">
        <f>'3 Bladed prop'!C4*0.94</f>
        <v>12.01403010373724</v>
      </c>
      <c r="E10" t="s">
        <v>56</v>
      </c>
      <c r="G10" s="34" t="s">
        <v>92</v>
      </c>
      <c r="H10" s="34"/>
      <c r="I10" s="34"/>
      <c r="J10" s="34"/>
      <c r="K10" s="34"/>
      <c r="L10" s="34"/>
      <c r="M10" s="34"/>
    </row>
    <row r="11" spans="4:13" ht="12.75">
      <c r="D11" s="37">
        <f>'3 Bladed prop'!C6*0.98</f>
        <v>9.780822111317374</v>
      </c>
      <c r="E11" t="s">
        <v>57</v>
      </c>
      <c r="G11" s="34" t="s">
        <v>82</v>
      </c>
      <c r="H11" s="34"/>
      <c r="I11" s="34"/>
      <c r="J11" s="34"/>
      <c r="K11" s="34"/>
      <c r="L11" s="34"/>
      <c r="M11" s="34"/>
    </row>
    <row r="12" ht="12.75">
      <c r="D12" s="4"/>
    </row>
    <row r="18" ht="12.75">
      <c r="E18" s="8"/>
    </row>
    <row r="19" spans="5:7" ht="12.75">
      <c r="E19" s="8"/>
      <c r="G19" s="48" t="s">
        <v>80</v>
      </c>
    </row>
    <row r="20" spans="5:7" ht="12.75">
      <c r="E20" s="7"/>
      <c r="G20" t="s">
        <v>83</v>
      </c>
    </row>
    <row r="21" spans="5:7" ht="12.75">
      <c r="E21" s="8"/>
      <c r="G21" t="s">
        <v>84</v>
      </c>
    </row>
    <row r="22" spans="5:7" ht="12.75">
      <c r="E22" s="8"/>
      <c r="G22" t="s">
        <v>85</v>
      </c>
    </row>
    <row r="23" ht="12.75">
      <c r="E23" s="7"/>
    </row>
    <row r="24" ht="12.75">
      <c r="E24" s="8"/>
    </row>
    <row r="26" spans="3:5" ht="12.75">
      <c r="C26" s="8" t="s">
        <v>94</v>
      </c>
      <c r="E26" s="8"/>
    </row>
    <row r="27" spans="3:5" ht="12.75">
      <c r="C27" s="8" t="s">
        <v>95</v>
      </c>
      <c r="E27" s="8"/>
    </row>
    <row r="28" spans="3:5" ht="12.75">
      <c r="C28" s="8" t="s">
        <v>96</v>
      </c>
      <c r="E28" s="8"/>
    </row>
    <row r="29" spans="3:5" ht="12.75">
      <c r="C29" s="8" t="s">
        <v>81</v>
      </c>
      <c r="E29" s="8"/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4"/>
  <sheetViews>
    <sheetView showGridLines="0" workbookViewId="0" topLeftCell="A1">
      <selection activeCell="J28" sqref="J28"/>
    </sheetView>
  </sheetViews>
  <sheetFormatPr defaultColWidth="9.140625" defaultRowHeight="12.75"/>
  <sheetData>
    <row r="2" ht="12.75">
      <c r="C2" s="7" t="s">
        <v>77</v>
      </c>
    </row>
    <row r="4" spans="3:4" ht="12.75">
      <c r="C4" s="37">
        <f>62.72*POWER(('Torque &amp; Shaft Horsepower'!C15*('3 Bladed prop'!C4/12)),0.67)</f>
        <v>279.31802755474183</v>
      </c>
      <c r="D4" t="s">
        <v>79</v>
      </c>
    </row>
    <row r="6" ht="12.75">
      <c r="D6" t="s">
        <v>58</v>
      </c>
    </row>
    <row r="9" ht="12.75">
      <c r="B9" s="8" t="s">
        <v>73</v>
      </c>
    </row>
    <row r="10" ht="12.75">
      <c r="B10" s="8" t="s">
        <v>59</v>
      </c>
    </row>
    <row r="11" ht="12.75">
      <c r="B11" s="7"/>
    </row>
    <row r="12" ht="12.75">
      <c r="B12" s="8" t="s">
        <v>61</v>
      </c>
    </row>
    <row r="13" ht="12.75">
      <c r="B13" s="8" t="s">
        <v>60</v>
      </c>
    </row>
    <row r="14" ht="12.75">
      <c r="B14" s="7"/>
    </row>
    <row r="15" ht="12.75">
      <c r="B15" s="8" t="s">
        <v>62</v>
      </c>
    </row>
    <row r="16" ht="12.75">
      <c r="B16" s="8" t="s">
        <v>63</v>
      </c>
    </row>
    <row r="17" ht="12.75">
      <c r="B17" s="7"/>
    </row>
    <row r="18" ht="12.75">
      <c r="B18" s="8" t="s">
        <v>64</v>
      </c>
    </row>
    <row r="19" ht="12.75">
      <c r="B19" s="8" t="s">
        <v>74</v>
      </c>
    </row>
    <row r="21" ht="12.75">
      <c r="C21" s="41" t="s">
        <v>75</v>
      </c>
    </row>
    <row r="24" ht="12.75">
      <c r="B24" s="8" t="s">
        <v>81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Surfbaud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Freeware Propeller Calculator</dc:title>
  <dc:subject>Marine Engineering</dc:subject>
  <dc:creator>J Bunt</dc:creator>
  <cp:keywords/>
  <dc:description/>
  <cp:lastModifiedBy>Owner</cp:lastModifiedBy>
  <cp:lastPrinted>2004-09-09T15:56:49Z</cp:lastPrinted>
  <dcterms:created xsi:type="dcterms:W3CDTF">1998-09-02T13:50:21Z</dcterms:created>
  <dcterms:modified xsi:type="dcterms:W3CDTF">2012-02-20T14:48:07Z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